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455" activeTab="1"/>
  </bookViews>
  <sheets>
    <sheet name="รายรับ" sheetId="1" r:id="rId1"/>
    <sheet name="รายจ่าย" sheetId="2" r:id="rId2"/>
  </sheets>
  <externalReferences>
    <externalReference r:id="rId3"/>
    <externalReference r:id="rId4"/>
  </externalReferences>
  <definedNames>
    <definedName name="_xlnm.Print_Titles" localSheetId="1">รายจ่าย!$1:$4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3" i="2"/>
  <c r="D65"/>
  <c r="E65"/>
  <c r="D67"/>
  <c r="D66"/>
  <c r="F63"/>
  <c r="E64"/>
  <c r="D56"/>
  <c r="F56"/>
  <c r="F55"/>
  <c r="D55"/>
  <c r="C53"/>
  <c r="D53"/>
  <c r="D10"/>
  <c r="D44"/>
  <c r="D49"/>
  <c r="D45"/>
  <c r="F27"/>
  <c r="D27"/>
  <c r="D9"/>
  <c r="D7"/>
  <c r="C7"/>
  <c r="F15"/>
  <c r="D15"/>
  <c r="C15"/>
  <c r="F25"/>
  <c r="D25"/>
  <c r="C25"/>
  <c r="F24"/>
  <c r="D24"/>
  <c r="C24"/>
  <c r="F17"/>
  <c r="D17"/>
  <c r="C17"/>
  <c r="D22" i="1"/>
  <c r="F20"/>
  <c r="F19"/>
  <c r="D19"/>
  <c r="D13"/>
  <c r="D12"/>
  <c r="D8"/>
  <c r="F53" i="2" l="1"/>
  <c r="F27" i="1"/>
  <c r="D63" i="2"/>
  <c r="E63" s="1"/>
  <c r="D62"/>
  <c r="E55" l="1"/>
  <c r="E56"/>
  <c r="F8" i="1" l="1"/>
  <c r="C8"/>
  <c r="F68" i="2" l="1"/>
  <c r="C68"/>
  <c r="F50"/>
  <c r="C50"/>
  <c r="E60"/>
  <c r="F57"/>
  <c r="C57"/>
  <c r="E54"/>
  <c r="E53"/>
  <c r="F47"/>
  <c r="C47"/>
  <c r="E46"/>
  <c r="E43"/>
  <c r="C41"/>
  <c r="E38"/>
  <c r="E37"/>
  <c r="E36"/>
  <c r="F41"/>
  <c r="D41"/>
  <c r="F26"/>
  <c r="C26"/>
  <c r="E30"/>
  <c r="E29"/>
  <c r="E19"/>
  <c r="E20"/>
  <c r="C22"/>
  <c r="F22"/>
  <c r="E21"/>
  <c r="E18"/>
  <c r="E12"/>
  <c r="E8"/>
  <c r="C27" i="1"/>
  <c r="E25"/>
  <c r="E24"/>
  <c r="E21"/>
  <c r="E19"/>
  <c r="E9"/>
  <c r="E10"/>
  <c r="E11"/>
  <c r="E14"/>
  <c r="E15"/>
  <c r="E16"/>
  <c r="F17"/>
  <c r="C17"/>
  <c r="F74" i="2" l="1"/>
  <c r="F28" i="1"/>
  <c r="F69" i="2"/>
  <c r="C69"/>
  <c r="C13"/>
  <c r="C33"/>
  <c r="F33"/>
  <c r="E35"/>
  <c r="E41" s="1"/>
  <c r="C51" l="1"/>
  <c r="C70" s="1"/>
  <c r="E13" i="1" l="1"/>
  <c r="E8" l="1"/>
  <c r="E67" i="2" l="1"/>
  <c r="E66" l="1"/>
  <c r="D59"/>
  <c r="E59" s="1"/>
  <c r="E23" i="1"/>
  <c r="E22"/>
  <c r="E57" i="2" l="1"/>
  <c r="D57"/>
  <c r="D68" l="1"/>
  <c r="D69" s="1"/>
  <c r="E62"/>
  <c r="E68" s="1"/>
  <c r="E69" s="1"/>
  <c r="E15" l="1"/>
  <c r="E26"/>
  <c r="E25"/>
  <c r="E45"/>
  <c r="D11"/>
  <c r="E11" s="1"/>
  <c r="D28"/>
  <c r="E28" s="1"/>
  <c r="E27" l="1"/>
  <c r="E10"/>
  <c r="F10"/>
  <c r="E44"/>
  <c r="E47" s="1"/>
  <c r="D47"/>
  <c r="E9"/>
  <c r="E7"/>
  <c r="F7"/>
  <c r="E12" i="1"/>
  <c r="E17" s="1"/>
  <c r="D17"/>
  <c r="E49" i="2"/>
  <c r="E50" s="1"/>
  <c r="D50"/>
  <c r="E24"/>
  <c r="D33" l="1"/>
  <c r="E13"/>
  <c r="D13"/>
  <c r="F13"/>
  <c r="F51" s="1"/>
  <c r="F70" s="1"/>
  <c r="F75" s="1"/>
  <c r="F76" s="1"/>
  <c r="E33"/>
  <c r="E17" l="1"/>
  <c r="E22" s="1"/>
  <c r="E51" s="1"/>
  <c r="E70" s="1"/>
  <c r="D22"/>
  <c r="D51" s="1"/>
  <c r="D70" l="1"/>
  <c r="H52"/>
  <c r="D71"/>
  <c r="D72" l="1"/>
  <c r="D20" i="1" l="1"/>
  <c r="E20" l="1"/>
  <c r="E27" s="1"/>
  <c r="D27"/>
  <c r="D28" s="1"/>
</calcChain>
</file>

<file path=xl/sharedStrings.xml><?xml version="1.0" encoding="utf-8"?>
<sst xmlns="http://schemas.openxmlformats.org/spreadsheetml/2006/main" count="106" uniqueCount="79">
  <si>
    <t>รายรับ</t>
  </si>
  <si>
    <t>การดำเนินงาน (บริหาร)</t>
  </si>
  <si>
    <t>ค่าบำรุงสมาชิก</t>
  </si>
  <si>
    <t>ค่าธรรมเนียมแรกเข้า (ถ้ามี)</t>
  </si>
  <si>
    <t>รายรับจากแขกที่มาเยือน</t>
  </si>
  <si>
    <t>รายรับอื่นๆ</t>
  </si>
  <si>
    <t>-</t>
  </si>
  <si>
    <t>ดอกเบี้ยรับ</t>
  </si>
  <si>
    <t>สมาชิกสนับสนุน</t>
  </si>
  <si>
    <t>รวม</t>
  </si>
  <si>
    <t>กิจกรรมบำเพ็ญประโยชน์</t>
  </si>
  <si>
    <t>รายจ่าย</t>
  </si>
  <si>
    <t>สำนักงานเลขานุการ</t>
  </si>
  <si>
    <t>เงินเดือนเจ้าหน้าที่</t>
  </si>
  <si>
    <t>รายงานประจำปี</t>
  </si>
  <si>
    <t>อื่นๆ</t>
  </si>
  <si>
    <t>ค่าบำรุงภาค</t>
  </si>
  <si>
    <t>โรตารีสากล</t>
  </si>
  <si>
    <t>ค่าบอกรับนิตยสาร</t>
  </si>
  <si>
    <t>การประชุมใหญ่โรตารีสากล</t>
  </si>
  <si>
    <t>สภานิติบัญญัติ</t>
  </si>
  <si>
    <t>ค่าใช้จ่ายในการจัดประชุม</t>
  </si>
  <si>
    <t>ประชุมสโมสร - ค่าห้องประชุม</t>
  </si>
  <si>
    <t>ประชุมสโมสร - ค่าอาหารว่าง</t>
  </si>
  <si>
    <t>ประชุมสโมสร - ของขวัญวิทยากร</t>
  </si>
  <si>
    <t>การสัมมนาอบรมนายกรับเลือก</t>
  </si>
  <si>
    <t>การประชุมใหญ่ประจำปีภาค</t>
  </si>
  <si>
    <t>การอบรมภาคประจำปี</t>
  </si>
  <si>
    <t>ค่าใช้จ่ายของคณะกรรมการ</t>
  </si>
  <si>
    <t>บริหารจัดการ</t>
  </si>
  <si>
    <t>สมาชิกภาพ</t>
  </si>
  <si>
    <t>ประชาสัมพันธ์</t>
  </si>
  <si>
    <t>โครงการบำเพ็ญประโยชน์</t>
  </si>
  <si>
    <t>มูลนิธิโรตารี</t>
  </si>
  <si>
    <t>ชนรุ่นใหม่</t>
  </si>
  <si>
    <t>เบ็ดเตล็ด</t>
  </si>
  <si>
    <t>ค่าใช้จ่ายงานสถาปนา</t>
  </si>
  <si>
    <t>ค่าใช้จ่ายวันครอบครัว</t>
  </si>
  <si>
    <t>ค่าใช้ร่วมงานสถาปนาสโมสรอื่น</t>
  </si>
  <si>
    <t>ของขวัญ/ดอกไม้/พวงหรีด</t>
  </si>
  <si>
    <t>ค่าไปรษณีย์</t>
  </si>
  <si>
    <t>ค่าเครื่องเขียน/สิ่งพิมพ์</t>
  </si>
  <si>
    <t>ค่าใช้จ่ายสื่อประชาสัมพันธ์</t>
  </si>
  <si>
    <t>ค่าใช้จ่ายอื่นๆในการดำเนินงาน</t>
  </si>
  <si>
    <t>รวมรายจ่ายในการดำเนินงาน</t>
  </si>
  <si>
    <t>โครงการของสโมสร (ลงแต่ละโครงการ</t>
  </si>
  <si>
    <t>ค่าธรรมเนียมทางกฎหมายหรือธนาคาร</t>
  </si>
  <si>
    <t>ค่าใช้จ่ายบำเพ็ญประโยชน์อื่นๆ</t>
  </si>
  <si>
    <t>รวมรายจ่ายบำเพ็ญประโยชน์</t>
  </si>
  <si>
    <t>รวมรายจ่ายทั้งสิ้น</t>
  </si>
  <si>
    <t>ช่วยเหลือผู้ประสบภัยพิบัติ</t>
  </si>
  <si>
    <t>Ryla</t>
  </si>
  <si>
    <t>Interact</t>
  </si>
  <si>
    <t>จำนวนสมาชิก</t>
  </si>
  <si>
    <t>ค่าบำรุง/สมาชิก</t>
  </si>
  <si>
    <t>สโมสรโรตารี XYZ – งบบริหารงานและงบกิจกรรมบำเพ็ญประโยชน์</t>
  </si>
  <si>
    <t xml:space="preserve">  - โครงการมุ้งลวดเพื่อน้อง</t>
  </si>
  <si>
    <t>รับรอง</t>
  </si>
  <si>
    <t>โครงการพิเศษ</t>
  </si>
  <si>
    <t>งบประมาณรายรับที่ตั้งไว้ ปี2562-2563</t>
  </si>
  <si>
    <t>รายรับที่คาดว่าจะได้รับใน ปี2562-2563</t>
  </si>
  <si>
    <t>มากกว่า / (น้อยกว่า) ปีที่แล้ว ปี 2562-2563</t>
  </si>
  <si>
    <t>งบประมาณรายรับปีหน้า (2563-2564)</t>
  </si>
  <si>
    <t>งบประมาณระหว่างวันที่ 1 กรกฎาคม 2563 – 30 มิถุนายน 2564</t>
  </si>
  <si>
    <t xml:space="preserve"> อัตราแลกเปลี่ยน:   32 USD = 1฿</t>
  </si>
  <si>
    <t>สมาชิกบริจาคเข้ามูลนิธิโรตารี</t>
  </si>
  <si>
    <t>เงินจากการจัด "CHARITY RUN"</t>
  </si>
  <si>
    <t>งบประมาณรายจ่ายที่ตั้งไว้ ปี2562-2563</t>
  </si>
  <si>
    <t>รายจ่ายที่คาดว่าจะจ่ายในปี 2562-2563</t>
  </si>
  <si>
    <t>งบประมาณการรายจ่ายปีหน้า (2563-2564)</t>
  </si>
  <si>
    <t>ค่าบำรุง (ปี2019-20 = 35.5/34USD., 2020-21 = 35.5/34.5USD.)</t>
  </si>
  <si>
    <t xml:space="preserve">เงินบริจาคให้มูลนิธิโรตารี </t>
  </si>
  <si>
    <t xml:space="preserve">  - โครงการ "CHARITY RUN"</t>
  </si>
  <si>
    <t>ซื้ออุปกรณ์การแพทย์มอบโรงพยาบาล</t>
  </si>
  <si>
    <t>ค่าใช้ประเมินโครงการ</t>
  </si>
  <si>
    <t>เงินคงเหลือยกมา (จาก 30 มิ.ย. 2563)</t>
  </si>
  <si>
    <t>รวมรับ ปี 2563-64</t>
  </si>
  <si>
    <t>รวมจ่าย ปี 2563-64</t>
  </si>
  <si>
    <t>เงินคงเหลือ ณ 30 มิ.ย. 2564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</si>
</sst>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</numFmts>
  <fonts count="7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b/>
      <sz val="14"/>
      <color theme="1"/>
      <name val="Angsana New"/>
      <family val="1"/>
    </font>
    <font>
      <sz val="12"/>
      <color theme="1"/>
      <name val="Tahoma"/>
      <family val="2"/>
      <scheme val="minor"/>
    </font>
    <font>
      <sz val="9"/>
      <color theme="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187" fontId="2" fillId="0" borderId="0" applyFont="0" applyFill="0" applyBorder="0" applyAlignment="0" applyProtection="0"/>
  </cellStyleXfs>
  <cellXfs count="49">
    <xf numFmtId="0" fontId="0" fillId="0" borderId="0" xfId="0"/>
    <xf numFmtId="187" fontId="0" fillId="0" borderId="0" xfId="1" applyFont="1"/>
    <xf numFmtId="187" fontId="4" fillId="0" borderId="0" xfId="1" applyFont="1" applyAlignment="1">
      <alignment horizontal="center"/>
    </xf>
    <xf numFmtId="187" fontId="0" fillId="0" borderId="1" xfId="1" applyFont="1" applyBorder="1"/>
    <xf numFmtId="0" fontId="0" fillId="0" borderId="8" xfId="0" applyBorder="1"/>
    <xf numFmtId="0" fontId="3" fillId="0" borderId="10" xfId="0" applyFont="1" applyBorder="1"/>
    <xf numFmtId="0" fontId="0" fillId="0" borderId="10" xfId="0" applyBorder="1"/>
    <xf numFmtId="0" fontId="0" fillId="0" borderId="10" xfId="0" applyBorder="1" applyAlignment="1">
      <alignment horizontal="center"/>
    </xf>
    <xf numFmtId="187" fontId="4" fillId="0" borderId="0" xfId="1" applyFont="1" applyAlignment="1"/>
    <xf numFmtId="0" fontId="0" fillId="0" borderId="11" xfId="0" applyBorder="1"/>
    <xf numFmtId="187" fontId="0" fillId="0" borderId="11" xfId="1" applyFont="1" applyBorder="1"/>
    <xf numFmtId="187" fontId="0" fillId="0" borderId="8" xfId="1" applyFont="1" applyBorder="1"/>
    <xf numFmtId="0" fontId="3" fillId="0" borderId="11" xfId="0" applyFont="1" applyBorder="1"/>
    <xf numFmtId="0" fontId="0" fillId="0" borderId="11" xfId="0" applyBorder="1" applyAlignment="1">
      <alignment horizontal="left"/>
    </xf>
    <xf numFmtId="0" fontId="3" fillId="0" borderId="8" xfId="0" applyFont="1" applyBorder="1" applyAlignment="1">
      <alignment horizontal="right"/>
    </xf>
    <xf numFmtId="0" fontId="0" fillId="0" borderId="8" xfId="0" applyBorder="1" applyAlignment="1">
      <alignment wrapText="1"/>
    </xf>
    <xf numFmtId="0" fontId="0" fillId="0" borderId="4" xfId="0" applyBorder="1"/>
    <xf numFmtId="0" fontId="0" fillId="0" borderId="5" xfId="0" applyBorder="1" applyAlignment="1">
      <alignment horizontal="right"/>
    </xf>
    <xf numFmtId="187" fontId="0" fillId="0" borderId="3" xfId="1" applyFont="1" applyBorder="1"/>
    <xf numFmtId="187" fontId="0" fillId="0" borderId="9" xfId="1" applyFont="1" applyBorder="1"/>
    <xf numFmtId="187" fontId="0" fillId="0" borderId="7" xfId="1" applyFont="1" applyBorder="1"/>
    <xf numFmtId="187" fontId="3" fillId="0" borderId="12" xfId="1" applyFont="1" applyBorder="1"/>
    <xf numFmtId="0" fontId="3" fillId="0" borderId="6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6" xfId="0" applyBorder="1" applyAlignment="1">
      <alignment horizontal="center"/>
    </xf>
    <xf numFmtId="187" fontId="0" fillId="0" borderId="15" xfId="1" applyFont="1" applyBorder="1"/>
    <xf numFmtId="0" fontId="3" fillId="0" borderId="17" xfId="0" applyFont="1" applyBorder="1" applyAlignment="1">
      <alignment horizontal="right"/>
    </xf>
    <xf numFmtId="187" fontId="3" fillId="0" borderId="1" xfId="1" applyFont="1" applyBorder="1"/>
    <xf numFmtId="187" fontId="0" fillId="0" borderId="0" xfId="0" applyNumberFormat="1"/>
    <xf numFmtId="187" fontId="6" fillId="0" borderId="8" xfId="1" applyFont="1" applyBorder="1" applyAlignment="1">
      <alignment horizontal="center" wrapText="1"/>
    </xf>
    <xf numFmtId="188" fontId="0" fillId="0" borderId="0" xfId="1" applyNumberFormat="1" applyFont="1"/>
    <xf numFmtId="43" fontId="0" fillId="0" borderId="0" xfId="0" applyNumberFormat="1"/>
    <xf numFmtId="187" fontId="1" fillId="0" borderId="1" xfId="1" applyFont="1" applyBorder="1"/>
    <xf numFmtId="188" fontId="3" fillId="0" borderId="1" xfId="1" applyNumberFormat="1" applyFont="1" applyBorder="1"/>
    <xf numFmtId="0" fontId="3" fillId="0" borderId="10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87" fontId="5" fillId="0" borderId="0" xfId="1" applyFont="1" applyAlignment="1">
      <alignment horizontal="center"/>
    </xf>
    <xf numFmtId="187" fontId="5" fillId="0" borderId="9" xfId="1" applyFont="1" applyBorder="1" applyAlignment="1">
      <alignment horizontal="center"/>
    </xf>
    <xf numFmtId="187" fontId="0" fillId="2" borderId="3" xfId="1" applyFont="1" applyFill="1" applyBorder="1" applyAlignment="1">
      <alignment horizontal="center" wrapText="1"/>
    </xf>
    <xf numFmtId="187" fontId="0" fillId="2" borderId="2" xfId="1" applyFont="1" applyFill="1" applyBorder="1" applyAlignment="1">
      <alignment horizontal="center" wrapText="1"/>
    </xf>
    <xf numFmtId="187" fontId="2" fillId="2" borderId="2" xfId="1" applyFont="1" applyFill="1" applyBorder="1" applyAlignment="1">
      <alignment horizontal="center" wrapText="1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87" fontId="6" fillId="2" borderId="3" xfId="1" applyFont="1" applyFill="1" applyBorder="1" applyAlignment="1">
      <alignment horizontal="center" wrapText="1"/>
    </xf>
    <xf numFmtId="187" fontId="6" fillId="2" borderId="2" xfId="1" applyFont="1" applyFill="1" applyBorder="1" applyAlignment="1">
      <alignment horizont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05;&#3633;&#3623;&#3629;&#3618;&#3656;&#3634;&#3591;&#3585;&#3619;&#3632;&#3604;&#3634;&#3625;&#3607;&#3635;&#3585;&#3634;&#3619;&#3591;&#3610;&#3585;&#3634;&#3619;&#3648;&#3591;&#3636;&#3609;&#3611;&#3637;%202562-256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G%202019-2020%20&#3612;&#3623;&#3616;.&#3626;&#3585;&#3609;&#3608;&#3660;%20&#3629;&#3638;&#3656;&#3591;&#3626;&#3619;&#3657;&#3629;&#3618;&#3607;&#3629;&#3591;/DTA/&#3605;&#3633;&#3623;&#3629;&#3618;&#3656;&#3634;&#3591;&#3591;&#3610;&#3585;&#3634;&#3619;&#3648;&#3591;&#3636;&#3609;&#3611;&#3637;%202560-256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บริหาร"/>
      <sheetName val="บำเพ็ญประโยชน์"/>
      <sheetName val="Sheet3"/>
    </sheetNames>
    <sheetDataSet>
      <sheetData sheetId="0">
        <row r="7">
          <cell r="N7">
            <v>306000</v>
          </cell>
        </row>
        <row r="8">
          <cell r="N8">
            <v>230</v>
          </cell>
        </row>
        <row r="9">
          <cell r="N9">
            <v>56000</v>
          </cell>
        </row>
        <row r="12">
          <cell r="N12">
            <v>56688</v>
          </cell>
        </row>
        <row r="13">
          <cell r="N13">
            <v>27500</v>
          </cell>
        </row>
        <row r="14">
          <cell r="N14">
            <v>60000</v>
          </cell>
        </row>
        <row r="15">
          <cell r="N15">
            <v>15000</v>
          </cell>
        </row>
        <row r="16">
          <cell r="N16">
            <v>5000</v>
          </cell>
        </row>
        <row r="17">
          <cell r="N17">
            <v>50000</v>
          </cell>
        </row>
        <row r="18">
          <cell r="N18">
            <v>800</v>
          </cell>
        </row>
        <row r="19">
          <cell r="N19">
            <v>1000</v>
          </cell>
        </row>
        <row r="20">
          <cell r="N20">
            <v>5550</v>
          </cell>
        </row>
        <row r="21">
          <cell r="N21">
            <v>8400</v>
          </cell>
        </row>
        <row r="22">
          <cell r="N22">
            <v>12000</v>
          </cell>
        </row>
        <row r="23">
          <cell r="N23">
            <v>399</v>
          </cell>
        </row>
        <row r="24">
          <cell r="N24">
            <v>170</v>
          </cell>
        </row>
        <row r="25">
          <cell r="N25">
            <v>6270</v>
          </cell>
        </row>
        <row r="26">
          <cell r="N26">
            <v>12160</v>
          </cell>
        </row>
        <row r="29">
          <cell r="N29">
            <v>4200</v>
          </cell>
        </row>
        <row r="35">
          <cell r="N35">
            <v>198481.65000000002</v>
          </cell>
        </row>
      </sheetData>
      <sheetData sheetId="1">
        <row r="5">
          <cell r="N5">
            <v>750000</v>
          </cell>
        </row>
        <row r="6">
          <cell r="N6">
            <v>176000</v>
          </cell>
        </row>
        <row r="8">
          <cell r="N8">
            <v>425</v>
          </cell>
        </row>
        <row r="12">
          <cell r="N12">
            <v>250000</v>
          </cell>
        </row>
        <row r="13">
          <cell r="N13">
            <v>210000</v>
          </cell>
        </row>
        <row r="17">
          <cell r="N17">
            <v>176000</v>
          </cell>
        </row>
        <row r="19">
          <cell r="N19">
            <v>5000</v>
          </cell>
        </row>
        <row r="20">
          <cell r="N20">
            <v>5600</v>
          </cell>
        </row>
        <row r="21">
          <cell r="N21">
            <v>17000</v>
          </cell>
        </row>
        <row r="22">
          <cell r="N22">
            <v>18624</v>
          </cell>
        </row>
        <row r="29">
          <cell r="N29">
            <v>237296.42999999993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บริหาร"/>
      <sheetName val="บำเพ็ญประโยชน์"/>
      <sheetName val="Sheet3"/>
    </sheetNames>
    <sheetDataSet>
      <sheetData sheetId="0" refreshError="1">
        <row r="7">
          <cell r="N7">
            <v>374000</v>
          </cell>
        </row>
        <row r="30">
          <cell r="N30">
            <v>54000</v>
          </cell>
        </row>
        <row r="31">
          <cell r="N31">
            <v>30000</v>
          </cell>
        </row>
        <row r="34">
          <cell r="N34">
            <v>690806</v>
          </cell>
        </row>
      </sheetData>
      <sheetData sheetId="1" refreshError="1">
        <row r="5">
          <cell r="N5">
            <v>200000</v>
          </cell>
        </row>
        <row r="14">
          <cell r="N14">
            <v>5000</v>
          </cell>
        </row>
        <row r="17">
          <cell r="N17">
            <v>16000</v>
          </cell>
        </row>
        <row r="20">
          <cell r="N20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5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F1"/>
    </sheetView>
  </sheetViews>
  <sheetFormatPr defaultRowHeight="14.25"/>
  <cols>
    <col min="1" max="1" width="4.875" customWidth="1"/>
    <col min="2" max="2" width="31.375" customWidth="1"/>
    <col min="3" max="6" width="13.75" style="1" customWidth="1"/>
    <col min="8" max="8" width="16.875" customWidth="1"/>
  </cols>
  <sheetData>
    <row r="1" spans="1:8" ht="21.95" customHeight="1">
      <c r="A1" s="40" t="s">
        <v>55</v>
      </c>
      <c r="B1" s="40"/>
      <c r="C1" s="40"/>
      <c r="D1" s="40"/>
      <c r="E1" s="40"/>
      <c r="F1" s="40"/>
      <c r="G1" s="8"/>
      <c r="H1" s="8"/>
    </row>
    <row r="2" spans="1:8" ht="21.95" customHeight="1">
      <c r="A2" s="41" t="s">
        <v>63</v>
      </c>
      <c r="B2" s="41"/>
      <c r="C2" s="41"/>
      <c r="D2" s="41"/>
      <c r="E2" s="41"/>
      <c r="F2" s="41"/>
      <c r="G2" s="8"/>
      <c r="H2" s="8"/>
    </row>
    <row r="3" spans="1:8" ht="27.75" customHeight="1">
      <c r="A3" s="36" t="s">
        <v>0</v>
      </c>
      <c r="B3" s="37"/>
      <c r="C3" s="42" t="s">
        <v>59</v>
      </c>
      <c r="D3" s="42" t="s">
        <v>60</v>
      </c>
      <c r="E3" s="42" t="s">
        <v>61</v>
      </c>
      <c r="F3" s="42" t="s">
        <v>62</v>
      </c>
      <c r="G3" s="2"/>
      <c r="H3" s="2"/>
    </row>
    <row r="4" spans="1:8" ht="26.25" customHeight="1">
      <c r="A4" s="38"/>
      <c r="B4" s="39"/>
      <c r="C4" s="43"/>
      <c r="D4" s="44"/>
      <c r="E4" s="44"/>
      <c r="F4" s="44"/>
    </row>
    <row r="5" spans="1:8" ht="33.75" customHeight="1">
      <c r="A5" s="5" t="s">
        <v>1</v>
      </c>
      <c r="B5" s="12"/>
      <c r="C5" s="10"/>
      <c r="D5" s="10"/>
      <c r="E5" s="10"/>
      <c r="F5" s="29" t="s">
        <v>64</v>
      </c>
    </row>
    <row r="6" spans="1:8" ht="21.95" customHeight="1">
      <c r="A6" s="5" t="s">
        <v>53</v>
      </c>
      <c r="B6" s="12"/>
      <c r="C6" s="33">
        <v>26</v>
      </c>
      <c r="D6" s="33">
        <v>26</v>
      </c>
      <c r="E6" s="27">
        <v>0</v>
      </c>
      <c r="F6" s="33">
        <v>28</v>
      </c>
    </row>
    <row r="7" spans="1:8" ht="21.95" customHeight="1">
      <c r="A7" s="5" t="s">
        <v>54</v>
      </c>
      <c r="B7" s="12"/>
      <c r="C7" s="27">
        <v>12000</v>
      </c>
      <c r="D7" s="27">
        <v>12000</v>
      </c>
      <c r="E7" s="27"/>
      <c r="F7" s="27">
        <v>12000</v>
      </c>
    </row>
    <row r="8" spans="1:8" ht="21.95" customHeight="1">
      <c r="A8" s="6" t="s">
        <v>2</v>
      </c>
      <c r="B8" s="4"/>
      <c r="C8" s="3">
        <f>C6*C7</f>
        <v>312000</v>
      </c>
      <c r="D8" s="3">
        <f>[1]บริหาร!$N$7</f>
        <v>306000</v>
      </c>
      <c r="E8" s="3">
        <f>D8-C8</f>
        <v>-6000</v>
      </c>
      <c r="F8" s="3">
        <f>F6*F7</f>
        <v>336000</v>
      </c>
    </row>
    <row r="9" spans="1:8" ht="21.95" customHeight="1">
      <c r="A9" s="6" t="s">
        <v>3</v>
      </c>
      <c r="B9" s="4"/>
      <c r="C9" s="3">
        <v>0</v>
      </c>
      <c r="D9" s="3"/>
      <c r="E9" s="3">
        <f t="shared" ref="E9:E16" si="0">D9-C9</f>
        <v>0</v>
      </c>
      <c r="F9" s="3">
        <v>0</v>
      </c>
    </row>
    <row r="10" spans="1:8" ht="21.95" customHeight="1">
      <c r="A10" s="6" t="s">
        <v>4</v>
      </c>
      <c r="B10" s="4"/>
      <c r="C10" s="3">
        <v>0</v>
      </c>
      <c r="D10" s="3">
        <v>0</v>
      </c>
      <c r="E10" s="3">
        <f t="shared" si="0"/>
        <v>0</v>
      </c>
      <c r="F10" s="3">
        <v>0</v>
      </c>
    </row>
    <row r="11" spans="1:8" ht="21.95" customHeight="1">
      <c r="A11" s="6" t="s">
        <v>5</v>
      </c>
      <c r="B11" s="4"/>
      <c r="C11" s="3"/>
      <c r="D11" s="3"/>
      <c r="E11" s="3">
        <f t="shared" si="0"/>
        <v>0</v>
      </c>
      <c r="F11" s="3"/>
    </row>
    <row r="12" spans="1:8" ht="21.95" customHeight="1">
      <c r="A12" s="7" t="s">
        <v>6</v>
      </c>
      <c r="B12" s="4" t="s">
        <v>7</v>
      </c>
      <c r="C12" s="3">
        <v>200</v>
      </c>
      <c r="D12" s="3">
        <f>[1]บริหาร!$N$8</f>
        <v>230</v>
      </c>
      <c r="E12" s="3">
        <f t="shared" si="0"/>
        <v>30</v>
      </c>
      <c r="F12" s="3">
        <v>200</v>
      </c>
    </row>
    <row r="13" spans="1:8" ht="21.95" customHeight="1">
      <c r="A13" s="7" t="s">
        <v>6</v>
      </c>
      <c r="B13" s="4" t="s">
        <v>8</v>
      </c>
      <c r="C13" s="3">
        <v>0</v>
      </c>
      <c r="D13" s="3">
        <f>[1]บริหาร!$N$9</f>
        <v>56000</v>
      </c>
      <c r="E13" s="3">
        <f t="shared" si="0"/>
        <v>56000</v>
      </c>
      <c r="F13" s="3"/>
    </row>
    <row r="14" spans="1:8" ht="21.95" customHeight="1">
      <c r="A14" s="6"/>
      <c r="B14" s="4"/>
      <c r="C14" s="3"/>
      <c r="D14" s="3"/>
      <c r="E14" s="3">
        <f t="shared" si="0"/>
        <v>0</v>
      </c>
      <c r="F14" s="3"/>
    </row>
    <row r="15" spans="1:8" ht="21.95" hidden="1" customHeight="1">
      <c r="A15" s="6"/>
      <c r="B15" s="4"/>
      <c r="C15" s="3"/>
      <c r="D15" s="3"/>
      <c r="E15" s="3">
        <f t="shared" si="0"/>
        <v>0</v>
      </c>
      <c r="F15" s="3"/>
    </row>
    <row r="16" spans="1:8" ht="21.95" hidden="1" customHeight="1">
      <c r="A16" s="6"/>
      <c r="B16" s="4"/>
      <c r="C16" s="3"/>
      <c r="D16" s="3"/>
      <c r="E16" s="3">
        <f t="shared" si="0"/>
        <v>0</v>
      </c>
      <c r="F16" s="3"/>
    </row>
    <row r="17" spans="1:6" ht="21.95" customHeight="1">
      <c r="A17" s="34" t="s">
        <v>9</v>
      </c>
      <c r="B17" s="35"/>
      <c r="C17" s="3">
        <f>SUM(C8:C16)</f>
        <v>312200</v>
      </c>
      <c r="D17" s="3">
        <f t="shared" ref="D17:F17" si="1">SUM(D8:D16)</f>
        <v>362230</v>
      </c>
      <c r="E17" s="3">
        <f t="shared" si="1"/>
        <v>50030</v>
      </c>
      <c r="F17" s="3">
        <f t="shared" si="1"/>
        <v>336200</v>
      </c>
    </row>
    <row r="18" spans="1:6" ht="29.25" customHeight="1">
      <c r="A18" s="5" t="s">
        <v>10</v>
      </c>
      <c r="B18" s="9"/>
      <c r="C18" s="10"/>
      <c r="D18" s="10"/>
      <c r="E18" s="10"/>
      <c r="F18" s="11"/>
    </row>
    <row r="19" spans="1:6" ht="21.95" customHeight="1">
      <c r="A19" s="6" t="s">
        <v>66</v>
      </c>
      <c r="B19" s="4"/>
      <c r="C19" s="3">
        <v>750000</v>
      </c>
      <c r="D19" s="3">
        <f>[1]บำเพ็ญประโยชน์!$N$5</f>
        <v>750000</v>
      </c>
      <c r="E19" s="3">
        <f t="shared" ref="E19:E25" si="2">D19-C19</f>
        <v>0</v>
      </c>
      <c r="F19" s="3">
        <f>1500*500+20000*10</f>
        <v>950000</v>
      </c>
    </row>
    <row r="20" spans="1:6" ht="21.95" customHeight="1">
      <c r="A20" s="6" t="s">
        <v>65</v>
      </c>
      <c r="B20" s="4"/>
      <c r="C20" s="3">
        <v>0</v>
      </c>
      <c r="D20" s="3">
        <f>[1]บำเพ็ญประโยชน์!$N$6</f>
        <v>176000</v>
      </c>
      <c r="E20" s="3">
        <f t="shared" si="2"/>
        <v>176000</v>
      </c>
      <c r="F20" s="3">
        <f>(26*100+2*1000)*32</f>
        <v>147200</v>
      </c>
    </row>
    <row r="21" spans="1:6" ht="21.95" customHeight="1">
      <c r="A21" s="6" t="s">
        <v>5</v>
      </c>
      <c r="B21" s="4"/>
      <c r="C21" s="3"/>
      <c r="D21" s="3"/>
      <c r="E21" s="3">
        <f t="shared" si="2"/>
        <v>0</v>
      </c>
      <c r="F21" s="3"/>
    </row>
    <row r="22" spans="1:6" ht="21.95" customHeight="1">
      <c r="A22" s="7" t="s">
        <v>6</v>
      </c>
      <c r="B22" s="4" t="s">
        <v>7</v>
      </c>
      <c r="C22" s="3">
        <v>400</v>
      </c>
      <c r="D22" s="3">
        <f>[1]บำเพ็ญประโยชน์!$N$8</f>
        <v>425</v>
      </c>
      <c r="E22" s="3">
        <f t="shared" si="2"/>
        <v>25</v>
      </c>
      <c r="F22" s="3">
        <v>400</v>
      </c>
    </row>
    <row r="23" spans="1:6" ht="21.95" customHeight="1">
      <c r="A23" s="7" t="s">
        <v>6</v>
      </c>
      <c r="B23" s="4" t="s">
        <v>35</v>
      </c>
      <c r="C23" s="3">
        <v>0</v>
      </c>
      <c r="D23" s="3">
        <v>0</v>
      </c>
      <c r="E23" s="3">
        <f t="shared" si="2"/>
        <v>0</v>
      </c>
      <c r="F23" s="3">
        <v>0</v>
      </c>
    </row>
    <row r="24" spans="1:6" ht="21.95" hidden="1" customHeight="1">
      <c r="A24" s="6"/>
      <c r="B24" s="4"/>
      <c r="C24" s="3"/>
      <c r="D24" s="3"/>
      <c r="E24" s="3">
        <f t="shared" si="2"/>
        <v>0</v>
      </c>
      <c r="F24" s="3"/>
    </row>
    <row r="25" spans="1:6" ht="21.95" hidden="1" customHeight="1">
      <c r="A25" s="6"/>
      <c r="B25" s="4"/>
      <c r="C25" s="3"/>
      <c r="D25" s="3"/>
      <c r="E25" s="3">
        <f t="shared" si="2"/>
        <v>0</v>
      </c>
      <c r="F25" s="3"/>
    </row>
    <row r="26" spans="1:6" ht="21.95" hidden="1" customHeight="1">
      <c r="A26" s="6"/>
      <c r="B26" s="4"/>
      <c r="C26" s="3"/>
      <c r="D26" s="3"/>
      <c r="E26" s="3"/>
      <c r="F26" s="3"/>
    </row>
    <row r="27" spans="1:6" ht="21.95" customHeight="1">
      <c r="A27" s="34" t="s">
        <v>9</v>
      </c>
      <c r="B27" s="35"/>
      <c r="C27" s="3">
        <f>SUM(C20:C26)</f>
        <v>400</v>
      </c>
      <c r="D27" s="3">
        <f>SUM(D20:D26)</f>
        <v>176425</v>
      </c>
      <c r="E27" s="3">
        <f>SUM(E20:E26)</f>
        <v>176025</v>
      </c>
      <c r="F27" s="3">
        <f>SUM(F19:F26)</f>
        <v>1097600</v>
      </c>
    </row>
    <row r="28" spans="1:6" ht="21.95" customHeight="1">
      <c r="D28" s="1">
        <f>D17+D27</f>
        <v>538655</v>
      </c>
      <c r="F28" s="1">
        <f>F17+F27</f>
        <v>1433800</v>
      </c>
    </row>
    <row r="29" spans="1:6" ht="21.95" customHeight="1"/>
    <row r="30" spans="1:6" ht="21.95" customHeight="1"/>
    <row r="31" spans="1:6" ht="21.95" customHeight="1"/>
    <row r="32" spans="1:6" ht="21.95" customHeight="1"/>
    <row r="33" ht="21.95" customHeight="1"/>
    <row r="34" ht="21.95" customHeight="1"/>
    <row r="35" ht="21.95" customHeight="1"/>
    <row r="36" ht="21.95" customHeight="1"/>
    <row r="37" ht="21.95" customHeight="1"/>
    <row r="38" ht="21.95" customHeight="1"/>
    <row r="39" ht="21.95" customHeight="1"/>
    <row r="40" ht="21.95" customHeight="1"/>
    <row r="41" ht="21.95" customHeight="1"/>
    <row r="42" ht="21.95" customHeight="1"/>
    <row r="43" ht="21.95" customHeight="1"/>
    <row r="44" ht="21.95" customHeight="1"/>
    <row r="45" ht="21.95" customHeight="1"/>
    <row r="46" ht="21.95" customHeight="1"/>
    <row r="47" ht="21.95" customHeight="1"/>
    <row r="48" ht="21.95" customHeight="1"/>
    <row r="49" ht="21.95" customHeight="1"/>
    <row r="50" ht="21.95" customHeight="1"/>
    <row r="51" ht="21.95" customHeight="1"/>
    <row r="52" ht="21.9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ht="21.95" customHeight="1"/>
    <row r="66" ht="21.95" customHeight="1"/>
    <row r="67" ht="21.95" customHeight="1"/>
    <row r="68" ht="21.95" customHeight="1"/>
    <row r="69" ht="21.95" customHeight="1"/>
    <row r="70" ht="21.95" customHeight="1"/>
    <row r="71" ht="21.95" customHeight="1"/>
    <row r="72" ht="21.95" customHeight="1"/>
    <row r="73" ht="21.95" customHeight="1"/>
    <row r="74" ht="21.95" customHeight="1"/>
    <row r="75" ht="21.95" customHeight="1"/>
    <row r="76" ht="21.95" customHeight="1"/>
    <row r="77" ht="21.95" customHeight="1"/>
    <row r="78" ht="21.95" customHeight="1"/>
    <row r="79" ht="21.95" customHeight="1"/>
    <row r="80" ht="21.95" customHeight="1"/>
    <row r="81" ht="21.95" customHeight="1"/>
    <row r="82" ht="21.95" customHeight="1"/>
    <row r="83" ht="21.95" customHeight="1"/>
    <row r="84" ht="21.95" customHeight="1"/>
    <row r="85" ht="21.95" customHeight="1"/>
    <row r="86" ht="21.95" customHeight="1"/>
    <row r="87" ht="21.95" customHeight="1"/>
    <row r="88" ht="21.95" customHeight="1"/>
    <row r="89" ht="21.95" customHeight="1"/>
    <row r="90" ht="21.95" customHeight="1"/>
    <row r="91" ht="21.95" customHeight="1"/>
    <row r="92" ht="21.95" customHeight="1"/>
    <row r="93" ht="21.95" customHeight="1"/>
    <row r="94" ht="21.95" customHeight="1"/>
    <row r="95" ht="21.95" customHeight="1"/>
    <row r="96" ht="21.95" customHeight="1"/>
    <row r="97" ht="21.95" customHeight="1"/>
    <row r="98" ht="21.95" customHeight="1"/>
    <row r="99" ht="21.95" customHeight="1"/>
    <row r="100" ht="21.95" customHeight="1"/>
    <row r="101" ht="21.95" customHeight="1"/>
    <row r="102" ht="21.95" customHeight="1"/>
    <row r="103" ht="21.95" customHeight="1"/>
    <row r="104" ht="21.95" customHeight="1"/>
    <row r="105" ht="21.95" customHeight="1"/>
    <row r="106" ht="21.95" customHeight="1"/>
    <row r="107" ht="21.95" customHeight="1"/>
    <row r="108" ht="21.95" customHeight="1"/>
    <row r="109" ht="21.95" customHeight="1"/>
    <row r="110" ht="21.95" customHeight="1"/>
    <row r="111" ht="21.95" customHeight="1"/>
    <row r="112" ht="21.95" customHeight="1"/>
    <row r="113" ht="21.95" customHeight="1"/>
    <row r="114" ht="21.95" customHeight="1"/>
    <row r="115" ht="21.95" customHeight="1"/>
    <row r="116" ht="21.95" customHeight="1"/>
    <row r="117" ht="21.95" customHeight="1"/>
    <row r="118" ht="21.95" customHeight="1"/>
    <row r="119" ht="21.95" customHeight="1"/>
    <row r="120" ht="21.95" customHeight="1"/>
    <row r="121" ht="21.95" customHeight="1"/>
    <row r="122" ht="21.95" customHeight="1"/>
    <row r="123" ht="21.95" customHeight="1"/>
    <row r="124" ht="21.95" customHeight="1"/>
    <row r="125" ht="21.95" customHeight="1"/>
    <row r="126" ht="21.95" customHeight="1"/>
    <row r="127" ht="21.95" customHeight="1"/>
    <row r="128" ht="21.95" customHeight="1"/>
    <row r="129" ht="21.95" customHeight="1"/>
    <row r="130" ht="21.95" customHeight="1"/>
    <row r="131" ht="21.95" customHeight="1"/>
    <row r="132" ht="21.95" customHeight="1"/>
    <row r="133" ht="21.95" customHeight="1"/>
    <row r="134" ht="21.95" customHeight="1"/>
    <row r="135" ht="21.95" customHeight="1"/>
    <row r="136" ht="21.95" customHeight="1"/>
    <row r="137" ht="21.95" customHeight="1"/>
    <row r="138" ht="21.95" customHeight="1"/>
    <row r="139" ht="21.95" customHeight="1"/>
    <row r="140" ht="21.95" customHeight="1"/>
    <row r="141" ht="21.95" customHeight="1"/>
    <row r="142" ht="21.95" customHeight="1"/>
    <row r="143" ht="21.95" customHeight="1"/>
    <row r="144" ht="21.95" customHeight="1"/>
    <row r="145" ht="21.95" customHeight="1"/>
    <row r="146" ht="21.95" customHeight="1"/>
    <row r="147" ht="21.95" customHeight="1"/>
    <row r="148" ht="21.95" customHeight="1"/>
    <row r="149" ht="21.95" customHeight="1"/>
    <row r="150" ht="21.95" customHeight="1"/>
    <row r="151" ht="21.95" customHeight="1"/>
    <row r="152" ht="21.95" customHeight="1"/>
    <row r="153" ht="21.95" customHeight="1"/>
    <row r="154" ht="21.95" customHeight="1"/>
    <row r="155" ht="21.95" customHeight="1"/>
    <row r="156" ht="21.95" customHeight="1"/>
    <row r="157" ht="21.95" customHeight="1"/>
    <row r="158" ht="21.95" customHeight="1"/>
    <row r="159" ht="21.95" customHeight="1"/>
    <row r="160" ht="21.95" customHeight="1"/>
    <row r="161" ht="21.95" customHeight="1"/>
    <row r="162" ht="21.95" customHeight="1"/>
    <row r="163" ht="21.95" customHeight="1"/>
    <row r="164" ht="21.95" customHeight="1"/>
    <row r="165" ht="21.95" customHeight="1"/>
    <row r="166" ht="21.95" customHeight="1"/>
    <row r="167" ht="21.95" customHeight="1"/>
    <row r="168" ht="21.95" customHeight="1"/>
    <row r="169" ht="21.95" customHeight="1"/>
    <row r="170" ht="21.95" customHeight="1"/>
    <row r="171" ht="21.95" customHeight="1"/>
    <row r="172" ht="21.95" customHeight="1"/>
    <row r="173" ht="21.95" customHeight="1"/>
    <row r="174" ht="21.95" customHeight="1"/>
    <row r="175" ht="21.95" customHeight="1"/>
    <row r="176" ht="21.95" customHeight="1"/>
    <row r="177" ht="21.95" customHeight="1"/>
    <row r="178" ht="21.95" customHeight="1"/>
    <row r="179" ht="21.95" customHeight="1"/>
    <row r="180" ht="21.95" customHeight="1"/>
    <row r="181" ht="21.95" customHeight="1"/>
    <row r="182" ht="21.95" customHeight="1"/>
    <row r="183" ht="21.95" customHeight="1"/>
    <row r="184" ht="21.95" customHeight="1"/>
    <row r="185" ht="21.95" customHeight="1"/>
  </sheetData>
  <mergeCells count="9">
    <mergeCell ref="A27:B27"/>
    <mergeCell ref="A3:B4"/>
    <mergeCell ref="A17:B17"/>
    <mergeCell ref="A1:F1"/>
    <mergeCell ref="A2:F2"/>
    <mergeCell ref="C3:C4"/>
    <mergeCell ref="D3:D4"/>
    <mergeCell ref="E3:E4"/>
    <mergeCell ref="F3:F4"/>
  </mergeCells>
  <printOptions horizontalCentered="1"/>
  <pageMargins left="0.45" right="0.1" top="0.75" bottom="0.75" header="0.3" footer="0.3"/>
  <pageSetup paperSize="9"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8"/>
  <sheetViews>
    <sheetView tabSelected="1" workbookViewId="0">
      <pane xSplit="2" ySplit="4" topLeftCell="C66" activePane="bottomRight" state="frozen"/>
      <selection pane="topRight" activeCell="C1" sqref="C1"/>
      <selection pane="bottomLeft" activeCell="A5" sqref="A5"/>
      <selection pane="bottomRight" activeCell="A2" sqref="A2:F2"/>
    </sheetView>
  </sheetViews>
  <sheetFormatPr defaultRowHeight="14.25"/>
  <cols>
    <col min="1" max="1" width="3" customWidth="1"/>
    <col min="2" max="2" width="40.125" customWidth="1"/>
    <col min="3" max="4" width="13.75" style="1" customWidth="1"/>
    <col min="5" max="5" width="13.125" style="1" customWidth="1"/>
    <col min="6" max="6" width="13.75" style="1" customWidth="1"/>
    <col min="8" max="8" width="12.125" customWidth="1"/>
  </cols>
  <sheetData>
    <row r="1" spans="1:7" ht="21.95" customHeight="1">
      <c r="A1" s="40" t="s">
        <v>55</v>
      </c>
      <c r="B1" s="40"/>
      <c r="C1" s="40"/>
      <c r="D1" s="40"/>
      <c r="E1" s="40"/>
      <c r="F1" s="40"/>
      <c r="G1" s="8"/>
    </row>
    <row r="2" spans="1:7" ht="21.95" customHeight="1">
      <c r="A2" s="41" t="s">
        <v>63</v>
      </c>
      <c r="B2" s="41"/>
      <c r="C2" s="41"/>
      <c r="D2" s="41"/>
      <c r="E2" s="41"/>
      <c r="F2" s="41"/>
      <c r="G2" s="8"/>
    </row>
    <row r="3" spans="1:7" ht="27.75" customHeight="1">
      <c r="A3" s="36" t="s">
        <v>11</v>
      </c>
      <c r="B3" s="37"/>
      <c r="C3" s="42" t="s">
        <v>67</v>
      </c>
      <c r="D3" s="42" t="s">
        <v>68</v>
      </c>
      <c r="E3" s="47" t="s">
        <v>61</v>
      </c>
      <c r="F3" s="47" t="s">
        <v>69</v>
      </c>
      <c r="G3" s="2"/>
    </row>
    <row r="4" spans="1:7" ht="26.25" customHeight="1">
      <c r="A4" s="38"/>
      <c r="B4" s="39"/>
      <c r="C4" s="43"/>
      <c r="D4" s="44"/>
      <c r="E4" s="48"/>
      <c r="F4" s="48"/>
    </row>
    <row r="5" spans="1:7" ht="21.95" customHeight="1">
      <c r="A5" s="5" t="s">
        <v>1</v>
      </c>
      <c r="B5" s="12"/>
      <c r="C5" s="10"/>
      <c r="D5" s="10"/>
      <c r="E5" s="10"/>
      <c r="F5" s="11"/>
    </row>
    <row r="6" spans="1:7" ht="21.95" customHeight="1">
      <c r="A6" s="5" t="s">
        <v>12</v>
      </c>
      <c r="B6" s="12"/>
      <c r="C6" s="10"/>
      <c r="D6" s="10"/>
      <c r="E6" s="10"/>
      <c r="F6" s="11"/>
    </row>
    <row r="7" spans="1:7" ht="21.95" customHeight="1">
      <c r="A7" s="6"/>
      <c r="B7" s="9" t="s">
        <v>13</v>
      </c>
      <c r="C7" s="3">
        <f>12*5000</f>
        <v>60000</v>
      </c>
      <c r="D7" s="3">
        <f>[1]บริหาร!$N$14</f>
        <v>60000</v>
      </c>
      <c r="E7" s="3">
        <f>D7-C7</f>
        <v>0</v>
      </c>
      <c r="F7" s="3">
        <f>D7*1.05</f>
        <v>63000</v>
      </c>
    </row>
    <row r="8" spans="1:7" ht="21.95" customHeight="1">
      <c r="A8" s="6"/>
      <c r="B8" s="9" t="s">
        <v>40</v>
      </c>
      <c r="C8" s="3"/>
      <c r="D8" s="3">
        <v>0</v>
      </c>
      <c r="E8" s="3">
        <f t="shared" ref="E8:E12" si="0">D8-C8</f>
        <v>0</v>
      </c>
      <c r="F8" s="3"/>
    </row>
    <row r="9" spans="1:7" ht="21.95" customHeight="1">
      <c r="A9" s="6"/>
      <c r="B9" s="9" t="s">
        <v>41</v>
      </c>
      <c r="C9" s="3">
        <v>1000</v>
      </c>
      <c r="D9" s="3">
        <f>SUM([1]บริหาร!$N$23:$N$24)</f>
        <v>569</v>
      </c>
      <c r="E9" s="3">
        <f t="shared" si="0"/>
        <v>-431</v>
      </c>
      <c r="F9" s="3">
        <v>1000</v>
      </c>
    </row>
    <row r="10" spans="1:7" ht="21.95" customHeight="1">
      <c r="A10" s="6"/>
      <c r="B10" s="13" t="s">
        <v>14</v>
      </c>
      <c r="C10" s="3">
        <v>24000</v>
      </c>
      <c r="D10" s="3">
        <f>SUM([1]บริหาร!$N$15:$N$16)</f>
        <v>20000</v>
      </c>
      <c r="E10" s="3">
        <f t="shared" si="0"/>
        <v>-4000</v>
      </c>
      <c r="F10" s="3">
        <f>D10*1.2</f>
        <v>24000</v>
      </c>
    </row>
    <row r="11" spans="1:7" ht="21.95" customHeight="1">
      <c r="A11" s="6"/>
      <c r="B11" s="13" t="s">
        <v>57</v>
      </c>
      <c r="C11" s="3">
        <v>20000</v>
      </c>
      <c r="D11" s="3">
        <f>[2]บริหาร!$N$30</f>
        <v>54000</v>
      </c>
      <c r="E11" s="3">
        <f t="shared" si="0"/>
        <v>34000</v>
      </c>
      <c r="F11" s="3">
        <v>25000</v>
      </c>
    </row>
    <row r="12" spans="1:7" ht="21.95" customHeight="1">
      <c r="A12" s="6"/>
      <c r="B12" s="13" t="s">
        <v>15</v>
      </c>
      <c r="C12" s="3"/>
      <c r="D12" s="3"/>
      <c r="E12" s="3">
        <f t="shared" si="0"/>
        <v>0</v>
      </c>
      <c r="F12" s="3"/>
    </row>
    <row r="13" spans="1:7" ht="21.95" customHeight="1">
      <c r="A13" s="34" t="s">
        <v>9</v>
      </c>
      <c r="B13" s="35"/>
      <c r="C13" s="3">
        <f>SUM(C7:C12)</f>
        <v>105000</v>
      </c>
      <c r="D13" s="3">
        <f>SUM(D7:D12)</f>
        <v>134569</v>
      </c>
      <c r="E13" s="3">
        <f>SUM(E7:E12)</f>
        <v>29569</v>
      </c>
      <c r="F13" s="3">
        <f>SUM(F7:F12)</f>
        <v>113000</v>
      </c>
    </row>
    <row r="14" spans="1:7" ht="29.25" customHeight="1">
      <c r="A14" s="5" t="s">
        <v>16</v>
      </c>
      <c r="B14" s="9"/>
      <c r="C14" s="10"/>
      <c r="D14" s="10"/>
      <c r="E14" s="10"/>
      <c r="F14" s="11"/>
    </row>
    <row r="15" spans="1:7" ht="21.95" customHeight="1">
      <c r="A15" s="34" t="s">
        <v>9</v>
      </c>
      <c r="B15" s="35"/>
      <c r="C15" s="3">
        <f>25*1100</f>
        <v>27500</v>
      </c>
      <c r="D15" s="3">
        <f>[1]บริหาร!$N$13</f>
        <v>27500</v>
      </c>
      <c r="E15" s="3">
        <f t="shared" ref="E15:E21" si="1">D15-C15</f>
        <v>0</v>
      </c>
      <c r="F15" s="3">
        <f>26*1100</f>
        <v>28600</v>
      </c>
    </row>
    <row r="16" spans="1:7" ht="21.95" customHeight="1">
      <c r="A16" s="5" t="s">
        <v>17</v>
      </c>
      <c r="B16" s="9"/>
      <c r="C16" s="10"/>
      <c r="D16" s="10"/>
      <c r="E16" s="10"/>
      <c r="F16" s="11"/>
    </row>
    <row r="17" spans="1:6" ht="30.75" customHeight="1">
      <c r="A17" s="6"/>
      <c r="B17" s="15" t="s">
        <v>70</v>
      </c>
      <c r="C17" s="3">
        <f>(25*(34+1.5)+(26*34))*33</f>
        <v>58459.5</v>
      </c>
      <c r="D17" s="3">
        <f>[1]บริหาร!$N$12</f>
        <v>56688</v>
      </c>
      <c r="E17" s="3">
        <f t="shared" si="1"/>
        <v>-1771.5</v>
      </c>
      <c r="F17" s="3">
        <f>(26*(34.5+1)+(28*34.5))*33</f>
        <v>62337</v>
      </c>
    </row>
    <row r="18" spans="1:6" ht="21.95" customHeight="1">
      <c r="A18" s="7"/>
      <c r="B18" s="4" t="s">
        <v>18</v>
      </c>
      <c r="C18" s="3">
        <v>0</v>
      </c>
      <c r="D18" s="3">
        <v>0</v>
      </c>
      <c r="E18" s="3">
        <f t="shared" si="1"/>
        <v>0</v>
      </c>
      <c r="F18" s="3">
        <v>0</v>
      </c>
    </row>
    <row r="19" spans="1:6" ht="21.95" customHeight="1">
      <c r="A19" s="7"/>
      <c r="B19" s="4" t="s">
        <v>19</v>
      </c>
      <c r="C19" s="3">
        <v>0</v>
      </c>
      <c r="D19" s="3">
        <v>0</v>
      </c>
      <c r="E19" s="3">
        <f t="shared" ref="E19:E20" si="2">D19-C19</f>
        <v>0</v>
      </c>
      <c r="F19" s="3">
        <v>0</v>
      </c>
    </row>
    <row r="20" spans="1:6" ht="21.95" customHeight="1">
      <c r="A20" s="6"/>
      <c r="B20" s="4" t="s">
        <v>20</v>
      </c>
      <c r="C20" s="3">
        <v>0</v>
      </c>
      <c r="D20" s="3">
        <v>0</v>
      </c>
      <c r="E20" s="3">
        <f t="shared" si="2"/>
        <v>0</v>
      </c>
      <c r="F20" s="3">
        <v>0</v>
      </c>
    </row>
    <row r="21" spans="1:6" ht="21.95" customHeight="1">
      <c r="A21" s="6"/>
      <c r="B21" s="4" t="s">
        <v>15</v>
      </c>
      <c r="C21" s="3"/>
      <c r="D21" s="3"/>
      <c r="E21" s="3">
        <f t="shared" si="1"/>
        <v>0</v>
      </c>
      <c r="F21" s="3"/>
    </row>
    <row r="22" spans="1:6" ht="21.95" customHeight="1">
      <c r="A22" s="34" t="s">
        <v>9</v>
      </c>
      <c r="B22" s="35"/>
      <c r="C22" s="3">
        <f>SUM(C17:C21)</f>
        <v>58459.5</v>
      </c>
      <c r="D22" s="3">
        <f>SUM(D17:D21)</f>
        <v>56688</v>
      </c>
      <c r="E22" s="3">
        <f>SUM(E17:E21)</f>
        <v>-1771.5</v>
      </c>
      <c r="F22" s="3">
        <f>SUM(F17:F21)</f>
        <v>62337</v>
      </c>
    </row>
    <row r="23" spans="1:6" ht="21.95" customHeight="1">
      <c r="A23" s="5" t="s">
        <v>21</v>
      </c>
      <c r="B23" s="9"/>
      <c r="C23" s="10"/>
      <c r="D23" s="10"/>
      <c r="E23" s="10"/>
      <c r="F23" s="11"/>
    </row>
    <row r="24" spans="1:6" ht="21.95" customHeight="1">
      <c r="A24" s="6"/>
      <c r="B24" s="4" t="s">
        <v>22</v>
      </c>
      <c r="C24" s="3">
        <f>12*700</f>
        <v>8400</v>
      </c>
      <c r="D24" s="3">
        <f>[1]บริหาร!$N$21</f>
        <v>8400</v>
      </c>
      <c r="E24" s="3">
        <f t="shared" ref="E24:E30" si="3">D24-C24</f>
        <v>0</v>
      </c>
      <c r="F24" s="3">
        <f>12*700</f>
        <v>8400</v>
      </c>
    </row>
    <row r="25" spans="1:6" ht="21.95" customHeight="1">
      <c r="A25" s="7"/>
      <c r="B25" s="4" t="s">
        <v>23</v>
      </c>
      <c r="C25" s="3">
        <f>12*1000</f>
        <v>12000</v>
      </c>
      <c r="D25" s="3">
        <f>[1]บริหาร!$N$22</f>
        <v>12000</v>
      </c>
      <c r="E25" s="3">
        <f t="shared" si="3"/>
        <v>0</v>
      </c>
      <c r="F25" s="3">
        <f>12*1200</f>
        <v>14400</v>
      </c>
    </row>
    <row r="26" spans="1:6" ht="21.95" customHeight="1">
      <c r="A26" s="7"/>
      <c r="B26" s="4" t="s">
        <v>24</v>
      </c>
      <c r="C26" s="3">
        <f>12*500</f>
        <v>6000</v>
      </c>
      <c r="D26" s="3"/>
      <c r="E26" s="3">
        <f t="shared" si="3"/>
        <v>-6000</v>
      </c>
      <c r="F26" s="3">
        <f>12*500</f>
        <v>6000</v>
      </c>
    </row>
    <row r="27" spans="1:6" ht="21.95" customHeight="1">
      <c r="A27" s="7"/>
      <c r="B27" s="4" t="s">
        <v>36</v>
      </c>
      <c r="C27" s="3">
        <v>20000</v>
      </c>
      <c r="D27" s="3">
        <f>SUM([1]บริหาร!$N$17:$N$19)</f>
        <v>51800</v>
      </c>
      <c r="E27" s="3">
        <f t="shared" si="3"/>
        <v>31800</v>
      </c>
      <c r="F27" s="3">
        <f>(26+15)*500</f>
        <v>20500</v>
      </c>
    </row>
    <row r="28" spans="1:6" ht="21.95" customHeight="1">
      <c r="A28" s="7"/>
      <c r="B28" s="4" t="s">
        <v>37</v>
      </c>
      <c r="C28" s="3">
        <v>20000</v>
      </c>
      <c r="D28" s="3">
        <f>[2]บริหาร!$N$31</f>
        <v>30000</v>
      </c>
      <c r="E28" s="3">
        <f t="shared" si="3"/>
        <v>10000</v>
      </c>
      <c r="F28" s="3">
        <v>30000</v>
      </c>
    </row>
    <row r="29" spans="1:6" ht="21.95" customHeight="1">
      <c r="A29" s="6"/>
      <c r="B29" s="4" t="s">
        <v>25</v>
      </c>
      <c r="C29" s="3">
        <v>0</v>
      </c>
      <c r="D29" s="3">
        <v>0</v>
      </c>
      <c r="E29" s="3">
        <f t="shared" si="3"/>
        <v>0</v>
      </c>
      <c r="F29" s="3">
        <v>0</v>
      </c>
    </row>
    <row r="30" spans="1:6" ht="21.95" customHeight="1">
      <c r="A30" s="6"/>
      <c r="B30" s="4" t="s">
        <v>26</v>
      </c>
      <c r="C30" s="3"/>
      <c r="D30" s="3"/>
      <c r="E30" s="3">
        <f t="shared" si="3"/>
        <v>0</v>
      </c>
      <c r="F30" s="3"/>
    </row>
    <row r="31" spans="1:6" ht="21.95" customHeight="1">
      <c r="A31" s="6"/>
      <c r="B31" s="4" t="s">
        <v>27</v>
      </c>
      <c r="C31" s="3"/>
      <c r="D31" s="3"/>
      <c r="E31" s="3"/>
      <c r="F31" s="3"/>
    </row>
    <row r="32" spans="1:6" ht="21.95" customHeight="1">
      <c r="A32" s="6"/>
      <c r="B32" s="4" t="s">
        <v>15</v>
      </c>
      <c r="C32" s="3"/>
      <c r="D32" s="3"/>
      <c r="E32" s="3"/>
      <c r="F32" s="3"/>
    </row>
    <row r="33" spans="1:6" ht="21.95" customHeight="1">
      <c r="A33" s="34" t="s">
        <v>9</v>
      </c>
      <c r="B33" s="35"/>
      <c r="C33" s="3">
        <f>SUM(C24:C32)</f>
        <v>66400</v>
      </c>
      <c r="D33" s="3">
        <f>SUM(D24:D32)</f>
        <v>102200</v>
      </c>
      <c r="E33" s="3">
        <f>SUM(E24:E32)</f>
        <v>35800</v>
      </c>
      <c r="F33" s="3">
        <f>SUM(F24:F32)</f>
        <v>79300</v>
      </c>
    </row>
    <row r="34" spans="1:6" ht="21.95" customHeight="1">
      <c r="A34" s="5" t="s">
        <v>28</v>
      </c>
      <c r="B34" s="9"/>
      <c r="C34" s="10"/>
      <c r="D34" s="10"/>
      <c r="E34" s="10"/>
      <c r="F34" s="11"/>
    </row>
    <row r="35" spans="1:6" ht="21.95" customHeight="1">
      <c r="A35" s="6"/>
      <c r="B35" s="4" t="s">
        <v>29</v>
      </c>
      <c r="C35" s="3"/>
      <c r="D35" s="3"/>
      <c r="E35" s="3">
        <f t="shared" ref="E35:E38" si="4">D35-C35</f>
        <v>0</v>
      </c>
      <c r="F35" s="3"/>
    </row>
    <row r="36" spans="1:6" ht="21.95" customHeight="1">
      <c r="A36" s="7"/>
      <c r="B36" s="4" t="s">
        <v>30</v>
      </c>
      <c r="C36" s="3"/>
      <c r="D36" s="3"/>
      <c r="E36" s="3">
        <f t="shared" si="4"/>
        <v>0</v>
      </c>
      <c r="F36" s="3"/>
    </row>
    <row r="37" spans="1:6" ht="21.95" customHeight="1">
      <c r="A37" s="6"/>
      <c r="B37" s="4" t="s">
        <v>31</v>
      </c>
      <c r="C37" s="3"/>
      <c r="D37" s="3"/>
      <c r="E37" s="3">
        <f t="shared" si="4"/>
        <v>0</v>
      </c>
      <c r="F37" s="3"/>
    </row>
    <row r="38" spans="1:6" ht="21.95" customHeight="1">
      <c r="A38" s="6"/>
      <c r="B38" s="4" t="s">
        <v>32</v>
      </c>
      <c r="C38" s="3"/>
      <c r="D38" s="3"/>
      <c r="E38" s="3">
        <f t="shared" si="4"/>
        <v>0</v>
      </c>
      <c r="F38" s="3"/>
    </row>
    <row r="39" spans="1:6" ht="21.95" customHeight="1">
      <c r="A39" s="6"/>
      <c r="B39" s="4" t="s">
        <v>33</v>
      </c>
      <c r="C39" s="3"/>
      <c r="D39" s="3"/>
      <c r="E39" s="3"/>
      <c r="F39" s="3"/>
    </row>
    <row r="40" spans="1:6" ht="21.95" customHeight="1">
      <c r="A40" s="6"/>
      <c r="B40" s="4" t="s">
        <v>34</v>
      </c>
      <c r="C40" s="3"/>
      <c r="D40" s="3"/>
      <c r="E40" s="3"/>
      <c r="F40" s="3"/>
    </row>
    <row r="41" spans="1:6" ht="21.95" customHeight="1">
      <c r="A41" s="34" t="s">
        <v>9</v>
      </c>
      <c r="B41" s="35"/>
      <c r="C41" s="3">
        <f>SUM(C35:C40)</f>
        <v>0</v>
      </c>
      <c r="D41" s="3">
        <f>SUM(D35:D40)</f>
        <v>0</v>
      </c>
      <c r="E41" s="3">
        <f>SUM(E35:E40)</f>
        <v>0</v>
      </c>
      <c r="F41" s="3">
        <f>SUM(F35:F40)</f>
        <v>0</v>
      </c>
    </row>
    <row r="42" spans="1:6" ht="21.95" customHeight="1">
      <c r="A42" s="5" t="s">
        <v>35</v>
      </c>
      <c r="B42" s="9"/>
      <c r="C42" s="10"/>
      <c r="D42" s="10"/>
      <c r="E42" s="10"/>
      <c r="F42" s="11"/>
    </row>
    <row r="43" spans="1:6" ht="31.5" customHeight="1">
      <c r="A43" s="6"/>
      <c r="B43" s="15" t="s">
        <v>46</v>
      </c>
      <c r="C43" s="3"/>
      <c r="D43" s="3"/>
      <c r="E43" s="3">
        <f t="shared" ref="E43:E46" si="5">D43-C43</f>
        <v>0</v>
      </c>
      <c r="F43" s="3"/>
    </row>
    <row r="44" spans="1:6" ht="21.95" customHeight="1">
      <c r="A44" s="7"/>
      <c r="B44" s="15" t="s">
        <v>39</v>
      </c>
      <c r="C44" s="3">
        <v>10000</v>
      </c>
      <c r="D44" s="3">
        <f>[1]บริหาร!$N$20+[1]บริหาร!$N$25</f>
        <v>11820</v>
      </c>
      <c r="E44" s="3">
        <f t="shared" si="5"/>
        <v>1820</v>
      </c>
      <c r="F44" s="3">
        <v>10000</v>
      </c>
    </row>
    <row r="45" spans="1:6" ht="21.95" customHeight="1">
      <c r="A45" s="7"/>
      <c r="B45" s="4" t="s">
        <v>38</v>
      </c>
      <c r="C45" s="3">
        <v>10000</v>
      </c>
      <c r="D45" s="3">
        <f>[1]บริหาร!$N$26</f>
        <v>12160</v>
      </c>
      <c r="E45" s="3">
        <f t="shared" si="5"/>
        <v>2160</v>
      </c>
      <c r="F45" s="3">
        <v>12000</v>
      </c>
    </row>
    <row r="46" spans="1:6" ht="21.95" customHeight="1">
      <c r="A46" s="6"/>
      <c r="B46" s="4" t="s">
        <v>42</v>
      </c>
      <c r="C46" s="3"/>
      <c r="D46" s="3"/>
      <c r="E46" s="3">
        <f t="shared" si="5"/>
        <v>0</v>
      </c>
      <c r="F46" s="3">
        <v>10000</v>
      </c>
    </row>
    <row r="47" spans="1:6" ht="21.95" customHeight="1">
      <c r="A47" s="34" t="s">
        <v>9</v>
      </c>
      <c r="B47" s="35"/>
      <c r="C47" s="3">
        <f>SUM(C43:C46)</f>
        <v>20000</v>
      </c>
      <c r="D47" s="3">
        <f>SUM(D43:D46)</f>
        <v>23980</v>
      </c>
      <c r="E47" s="3">
        <f>SUM(E43:E46)</f>
        <v>3980</v>
      </c>
      <c r="F47" s="3">
        <f>SUM(F43:F46)</f>
        <v>32000</v>
      </c>
    </row>
    <row r="48" spans="1:6" ht="21.95" customHeight="1">
      <c r="A48" s="5" t="s">
        <v>43</v>
      </c>
      <c r="B48" s="9"/>
      <c r="C48" s="10"/>
      <c r="D48" s="10"/>
      <c r="E48" s="10"/>
      <c r="F48" s="11"/>
    </row>
    <row r="49" spans="1:8" ht="21.95" customHeight="1">
      <c r="A49" s="6"/>
      <c r="B49" s="4" t="s">
        <v>35</v>
      </c>
      <c r="C49" s="3">
        <v>2000</v>
      </c>
      <c r="D49" s="3">
        <f>[1]บริหาร!$N$29</f>
        <v>4200</v>
      </c>
      <c r="E49" s="3">
        <f t="shared" ref="E49" si="6">D49-C49</f>
        <v>2200</v>
      </c>
      <c r="F49" s="3">
        <v>5000</v>
      </c>
    </row>
    <row r="50" spans="1:8" ht="21.95" customHeight="1" thickBot="1">
      <c r="A50" s="16"/>
      <c r="B50" s="17" t="s">
        <v>9</v>
      </c>
      <c r="C50" s="18">
        <f>SUM(C49:C49)</f>
        <v>2000</v>
      </c>
      <c r="D50" s="18">
        <f>SUM(D49:D49)</f>
        <v>4200</v>
      </c>
      <c r="E50" s="18">
        <f>SUM(E49:E49)</f>
        <v>2200</v>
      </c>
      <c r="F50" s="18">
        <f>SUM(F49:F49)</f>
        <v>5000</v>
      </c>
    </row>
    <row r="51" spans="1:8" ht="21.95" customHeight="1" thickBot="1">
      <c r="A51" s="45" t="s">
        <v>44</v>
      </c>
      <c r="B51" s="46"/>
      <c r="C51" s="21">
        <f>C13+C15+C22+C33+C47+C50</f>
        <v>279359.5</v>
      </c>
      <c r="D51" s="21">
        <f>D13+D15+D22+D33+D47+D50</f>
        <v>349137</v>
      </c>
      <c r="E51" s="21">
        <f>E13+E15+E22+E33+E47+E50</f>
        <v>69777.5</v>
      </c>
      <c r="F51" s="21">
        <f>F13+F15+F22+F33+F47+F50</f>
        <v>320237</v>
      </c>
      <c r="H51" s="30">
        <v>349137</v>
      </c>
    </row>
    <row r="52" spans="1:8" ht="27" customHeight="1">
      <c r="A52" s="22" t="s">
        <v>10</v>
      </c>
      <c r="B52" s="23"/>
      <c r="C52" s="19"/>
      <c r="D52" s="19"/>
      <c r="E52" s="19"/>
      <c r="F52" s="20"/>
      <c r="H52" s="31">
        <f>D51-H51</f>
        <v>0</v>
      </c>
    </row>
    <row r="53" spans="1:8" ht="21.95" customHeight="1">
      <c r="A53" s="6"/>
      <c r="B53" s="4" t="s">
        <v>71</v>
      </c>
      <c r="C53" s="32">
        <f>(20*25+5*1000)*32</f>
        <v>176000</v>
      </c>
      <c r="D53" s="3">
        <f>[1]บำเพ็ญประโยชน์!$N$17</f>
        <v>176000</v>
      </c>
      <c r="E53" s="3">
        <f t="shared" ref="E53:E56" si="7">D53-C53</f>
        <v>0</v>
      </c>
      <c r="F53" s="3">
        <f>รายรับ!F20</f>
        <v>147200</v>
      </c>
    </row>
    <row r="54" spans="1:8" ht="21.95" customHeight="1">
      <c r="A54" s="7"/>
      <c r="B54" s="4" t="s">
        <v>45</v>
      </c>
      <c r="C54" s="3"/>
      <c r="D54" s="3"/>
      <c r="E54" s="3">
        <f t="shared" si="7"/>
        <v>0</v>
      </c>
      <c r="F54" s="3"/>
    </row>
    <row r="55" spans="1:8" ht="21.95" customHeight="1">
      <c r="A55" s="6"/>
      <c r="B55" s="4" t="s">
        <v>72</v>
      </c>
      <c r="C55" s="3">
        <v>250000</v>
      </c>
      <c r="D55" s="3">
        <f>[1]บำเพ็ญประโยชน์!$N$12</f>
        <v>250000</v>
      </c>
      <c r="E55" s="3">
        <f t="shared" si="7"/>
        <v>0</v>
      </c>
      <c r="F55" s="3">
        <f>1500*250</f>
        <v>375000</v>
      </c>
    </row>
    <row r="56" spans="1:8" ht="21.95" customHeight="1">
      <c r="A56" s="6"/>
      <c r="B56" s="4" t="s">
        <v>56</v>
      </c>
      <c r="C56" s="3">
        <v>60000</v>
      </c>
      <c r="D56" s="3">
        <f>[1]บำเพ็ญประโยชน์!$N$13</f>
        <v>210000</v>
      </c>
      <c r="E56" s="3">
        <f t="shared" si="7"/>
        <v>150000</v>
      </c>
      <c r="F56" s="3">
        <f>150000+60000</f>
        <v>210000</v>
      </c>
    </row>
    <row r="57" spans="1:8" ht="21.95" customHeight="1">
      <c r="A57" s="34" t="s">
        <v>9</v>
      </c>
      <c r="B57" s="35"/>
      <c r="C57" s="3">
        <f>SUM(C53:C56)</f>
        <v>486000</v>
      </c>
      <c r="D57" s="3">
        <f>SUM(D53:D56)</f>
        <v>636000</v>
      </c>
      <c r="E57" s="3">
        <f>SUM(E53:E56)</f>
        <v>150000</v>
      </c>
      <c r="F57" s="3">
        <f>SUM(F53:F56)</f>
        <v>732200</v>
      </c>
    </row>
    <row r="58" spans="1:8" ht="21.95" customHeight="1">
      <c r="A58" s="5" t="s">
        <v>28</v>
      </c>
      <c r="B58" s="9"/>
      <c r="C58" s="10"/>
      <c r="D58" s="10"/>
      <c r="E58" s="10"/>
      <c r="F58" s="11"/>
    </row>
    <row r="59" spans="1:8" ht="21.95" customHeight="1">
      <c r="A59" s="6"/>
      <c r="B59" s="4" t="s">
        <v>32</v>
      </c>
      <c r="C59" s="3">
        <v>8000</v>
      </c>
      <c r="D59" s="3">
        <f>[2]บำเพ็ญประโยชน์!$N$20</f>
        <v>0</v>
      </c>
      <c r="E59" s="3">
        <f t="shared" ref="E59:E67" si="8">D59-C59</f>
        <v>-8000</v>
      </c>
      <c r="F59" s="3">
        <v>8000</v>
      </c>
    </row>
    <row r="60" spans="1:8" ht="21.95" customHeight="1">
      <c r="A60" s="7"/>
      <c r="B60" s="4" t="s">
        <v>33</v>
      </c>
      <c r="C60" s="3"/>
      <c r="D60" s="3"/>
      <c r="E60" s="3">
        <f t="shared" si="8"/>
        <v>0</v>
      </c>
      <c r="F60" s="3"/>
    </row>
    <row r="61" spans="1:8" ht="21.95" customHeight="1">
      <c r="A61" s="5" t="s">
        <v>47</v>
      </c>
      <c r="B61" s="9"/>
      <c r="C61" s="10"/>
      <c r="D61" s="10"/>
      <c r="E61" s="10"/>
      <c r="F61" s="11"/>
    </row>
    <row r="62" spans="1:8" ht="21.95" customHeight="1">
      <c r="A62" s="6"/>
      <c r="B62" s="4" t="s">
        <v>50</v>
      </c>
      <c r="C62" s="3">
        <v>20000</v>
      </c>
      <c r="D62" s="3">
        <f>[2]บำเพ็ญประโยชน์!$N$14</f>
        <v>5000</v>
      </c>
      <c r="E62" s="3">
        <f t="shared" si="8"/>
        <v>-15000</v>
      </c>
      <c r="F62" s="3">
        <v>20000</v>
      </c>
    </row>
    <row r="63" spans="1:8" ht="21.95" customHeight="1">
      <c r="A63" s="6"/>
      <c r="B63" s="4" t="s">
        <v>58</v>
      </c>
      <c r="C63" s="3">
        <v>16000</v>
      </c>
      <c r="D63" s="3">
        <f>[2]บำเพ็ญประโยชน์!N17</f>
        <v>16000</v>
      </c>
      <c r="E63" s="3">
        <f t="shared" si="8"/>
        <v>0</v>
      </c>
      <c r="F63" s="3">
        <f>600*32</f>
        <v>19200</v>
      </c>
    </row>
    <row r="64" spans="1:8" ht="21.95" customHeight="1">
      <c r="A64" s="6"/>
      <c r="B64" s="4" t="s">
        <v>73</v>
      </c>
      <c r="C64" s="3"/>
      <c r="D64" s="3">
        <v>200000</v>
      </c>
      <c r="E64" s="3">
        <f t="shared" si="8"/>
        <v>200000</v>
      </c>
      <c r="F64" s="3"/>
    </row>
    <row r="65" spans="1:7" ht="21.95" customHeight="1">
      <c r="A65" s="6"/>
      <c r="B65" s="4" t="s">
        <v>74</v>
      </c>
      <c r="C65" s="3">
        <v>20000</v>
      </c>
      <c r="D65" s="3">
        <f>[1]บำเพ็ญประโยชน์!$N$22</f>
        <v>18624</v>
      </c>
      <c r="E65" s="3">
        <f t="shared" si="8"/>
        <v>-1376</v>
      </c>
      <c r="F65" s="3">
        <v>25000</v>
      </c>
    </row>
    <row r="66" spans="1:7" ht="21.95" customHeight="1">
      <c r="A66" s="6"/>
      <c r="B66" s="4" t="s">
        <v>51</v>
      </c>
      <c r="C66" s="3">
        <v>20000</v>
      </c>
      <c r="D66" s="3">
        <f>[1]บำเพ็ญประโยชน์!$N$21</f>
        <v>17000</v>
      </c>
      <c r="E66" s="3">
        <f t="shared" si="8"/>
        <v>-3000</v>
      </c>
      <c r="F66" s="3">
        <v>20000</v>
      </c>
    </row>
    <row r="67" spans="1:7" ht="21.95" customHeight="1">
      <c r="A67" s="6"/>
      <c r="B67" s="4" t="s">
        <v>52</v>
      </c>
      <c r="C67" s="3">
        <v>6000</v>
      </c>
      <c r="D67" s="3">
        <f>SUM([1]บำเพ็ญประโยชน์!$N$19:$N$20)</f>
        <v>10600</v>
      </c>
      <c r="E67" s="3">
        <f t="shared" si="8"/>
        <v>4600</v>
      </c>
      <c r="F67" s="3">
        <v>5000</v>
      </c>
    </row>
    <row r="68" spans="1:7" ht="21.95" customHeight="1">
      <c r="A68" s="34" t="s">
        <v>9</v>
      </c>
      <c r="B68" s="35"/>
      <c r="C68" s="3">
        <f>SUM(C62:C67)</f>
        <v>82000</v>
      </c>
      <c r="D68" s="3">
        <f>SUM(D62:D67)</f>
        <v>267224</v>
      </c>
      <c r="E68" s="3">
        <f>SUM(E62:E67)</f>
        <v>185224</v>
      </c>
      <c r="F68" s="3">
        <f>SUM(F62:F67)</f>
        <v>89200</v>
      </c>
    </row>
    <row r="69" spans="1:7" ht="21.95" customHeight="1">
      <c r="A69" s="6"/>
      <c r="B69" s="14" t="s">
        <v>48</v>
      </c>
      <c r="C69" s="3">
        <f>C57+C59+C60+C68</f>
        <v>576000</v>
      </c>
      <c r="D69" s="3">
        <f>D57+D59+D60+D68</f>
        <v>903224</v>
      </c>
      <c r="E69" s="3">
        <f>E57+E59+E60+E68</f>
        <v>327224</v>
      </c>
      <c r="F69" s="3">
        <f>F57+F59+F60+F68</f>
        <v>829400</v>
      </c>
    </row>
    <row r="70" spans="1:7" ht="24.75" customHeight="1" thickBot="1">
      <c r="A70" s="24"/>
      <c r="B70" s="26" t="s">
        <v>49</v>
      </c>
      <c r="C70" s="25">
        <f>C51+C69</f>
        <v>855359.5</v>
      </c>
      <c r="D70" s="25">
        <f>D51+D69</f>
        <v>1252361</v>
      </c>
      <c r="E70" s="25">
        <f>E51+E69</f>
        <v>397001.5</v>
      </c>
      <c r="F70" s="25">
        <f>F51+F69</f>
        <v>1149637</v>
      </c>
    </row>
    <row r="71" spans="1:7" ht="21.95" customHeight="1" thickTop="1">
      <c r="D71" s="1">
        <f>[2]บริหาร!$N$34</f>
        <v>690806</v>
      </c>
    </row>
    <row r="72" spans="1:7" ht="21.95" customHeight="1">
      <c r="D72" s="1">
        <f>D70-D71</f>
        <v>561555</v>
      </c>
    </row>
    <row r="73" spans="1:7" ht="21.95" customHeight="1">
      <c r="B73" t="s">
        <v>75</v>
      </c>
      <c r="F73" s="1">
        <f>SUM([1]บริหาร!$N$35+[1]บำเพ็ญประโยชน์!$N$29)</f>
        <v>435778.07999999996</v>
      </c>
      <c r="G73" s="28"/>
    </row>
    <row r="74" spans="1:7" ht="21.95" customHeight="1">
      <c r="B74" t="s">
        <v>76</v>
      </c>
      <c r="F74" s="1">
        <f>รายรับ!F17+รายรับ!F27</f>
        <v>1433800</v>
      </c>
    </row>
    <row r="75" spans="1:7" ht="21.95" customHeight="1">
      <c r="B75" t="s">
        <v>77</v>
      </c>
      <c r="F75" s="1">
        <f>F70</f>
        <v>1149637</v>
      </c>
    </row>
    <row r="76" spans="1:7" ht="21.95" customHeight="1">
      <c r="B76" t="s">
        <v>78</v>
      </c>
      <c r="F76" s="1">
        <f>F73+F74-F75</f>
        <v>719941.08000000007</v>
      </c>
    </row>
    <row r="77" spans="1:7" ht="21.95" customHeight="1"/>
    <row r="78" spans="1:7" ht="21.95" customHeight="1"/>
    <row r="79" spans="1:7" ht="21.95" customHeight="1"/>
    <row r="80" spans="1:7" ht="21.95" customHeight="1"/>
    <row r="81" ht="21.95" customHeight="1"/>
    <row r="82" ht="21.95" customHeight="1"/>
    <row r="83" ht="21.95" customHeight="1"/>
    <row r="84" ht="21.95" customHeight="1"/>
    <row r="85" ht="21.95" customHeight="1"/>
    <row r="86" ht="21.95" customHeight="1"/>
    <row r="87" ht="21.95" customHeight="1"/>
    <row r="88" ht="21.95" customHeight="1"/>
    <row r="89" ht="21.95" customHeight="1"/>
    <row r="90" ht="21.95" customHeight="1"/>
    <row r="91" ht="21.95" customHeight="1"/>
    <row r="92" ht="21.95" customHeight="1"/>
    <row r="93" ht="21.95" customHeight="1"/>
    <row r="94" ht="21.95" customHeight="1"/>
    <row r="95" ht="21.95" customHeight="1"/>
    <row r="96" ht="21.95" customHeight="1"/>
    <row r="97" ht="21.95" customHeight="1"/>
    <row r="98" ht="21.95" customHeight="1"/>
    <row r="99" ht="21.95" customHeight="1"/>
    <row r="100" ht="21.95" customHeight="1"/>
    <row r="101" ht="21.95" customHeight="1"/>
    <row r="102" ht="21.95" customHeight="1"/>
    <row r="103" ht="21.95" customHeight="1"/>
    <row r="104" ht="21.95" customHeight="1"/>
    <row r="105" ht="21.95" customHeight="1"/>
    <row r="106" ht="21.95" customHeight="1"/>
    <row r="107" ht="21.95" customHeight="1"/>
    <row r="108" ht="21.95" customHeight="1"/>
    <row r="109" ht="21.95" customHeight="1"/>
    <row r="110" ht="21.95" customHeight="1"/>
    <row r="111" ht="21.95" customHeight="1"/>
    <row r="112" ht="21.95" customHeight="1"/>
    <row r="113" ht="21.95" customHeight="1"/>
    <row r="114" ht="21.95" customHeight="1"/>
    <row r="115" ht="21.95" customHeight="1"/>
    <row r="116" ht="21.95" customHeight="1"/>
    <row r="117" ht="21.95" customHeight="1"/>
    <row r="118" ht="21.95" customHeight="1"/>
    <row r="119" ht="21.95" customHeight="1"/>
    <row r="120" ht="21.95" customHeight="1"/>
    <row r="121" ht="21.95" customHeight="1"/>
    <row r="122" ht="21.95" customHeight="1"/>
    <row r="123" ht="21.95" customHeight="1"/>
    <row r="124" ht="21.95" customHeight="1"/>
    <row r="125" ht="21.95" customHeight="1"/>
    <row r="126" ht="21.95" customHeight="1"/>
    <row r="127" ht="21.95" customHeight="1"/>
    <row r="128" ht="21.95" customHeight="1"/>
    <row r="129" ht="21.95" customHeight="1"/>
    <row r="130" ht="21.95" customHeight="1"/>
    <row r="131" ht="21.95" customHeight="1"/>
    <row r="132" ht="21.95" customHeight="1"/>
    <row r="133" ht="21.95" customHeight="1"/>
    <row r="134" ht="21.95" customHeight="1"/>
    <row r="135" ht="21.95" customHeight="1"/>
    <row r="136" ht="21.95" customHeight="1"/>
    <row r="137" ht="21.95" customHeight="1"/>
    <row r="138" ht="21.95" customHeight="1"/>
    <row r="139" ht="21.95" customHeight="1"/>
    <row r="140" ht="21.95" customHeight="1"/>
    <row r="141" ht="21.95" customHeight="1"/>
    <row r="142" ht="21.95" customHeight="1"/>
    <row r="143" ht="21.95" customHeight="1"/>
    <row r="144" ht="21.95" customHeight="1"/>
    <row r="145" ht="21.95" customHeight="1"/>
    <row r="146" ht="21.95" customHeight="1"/>
    <row r="147" ht="21.95" customHeight="1"/>
    <row r="148" ht="21.95" customHeight="1"/>
    <row r="149" ht="21.95" customHeight="1"/>
    <row r="150" ht="21.95" customHeight="1"/>
    <row r="151" ht="21.95" customHeight="1"/>
    <row r="152" ht="21.95" customHeight="1"/>
    <row r="153" ht="21.95" customHeight="1"/>
    <row r="154" ht="21.95" customHeight="1"/>
    <row r="155" ht="21.95" customHeight="1"/>
    <row r="156" ht="21.95" customHeight="1"/>
    <row r="157" ht="21.95" customHeight="1"/>
    <row r="158" ht="21.95" customHeight="1"/>
  </sheetData>
  <mergeCells count="16">
    <mergeCell ref="A68:B68"/>
    <mergeCell ref="A1:F1"/>
    <mergeCell ref="A2:F2"/>
    <mergeCell ref="A3:B4"/>
    <mergeCell ref="A13:B13"/>
    <mergeCell ref="A22:B22"/>
    <mergeCell ref="A15:B15"/>
    <mergeCell ref="A33:B33"/>
    <mergeCell ref="A41:B41"/>
    <mergeCell ref="A47:B47"/>
    <mergeCell ref="A51:B51"/>
    <mergeCell ref="A57:B57"/>
    <mergeCell ref="C3:C4"/>
    <mergeCell ref="D3:D4"/>
    <mergeCell ref="F3:F4"/>
    <mergeCell ref="E3:E4"/>
  </mergeCells>
  <printOptions horizontalCentered="1"/>
  <pageMargins left="0.45" right="0.1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รายรับ</vt:lpstr>
      <vt:lpstr>รายจ่าย</vt:lpstr>
      <vt:lpstr>รายจ่าย!Print_Titles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acer</cp:lastModifiedBy>
  <cp:lastPrinted>2020-06-26T13:10:39Z</cp:lastPrinted>
  <dcterms:created xsi:type="dcterms:W3CDTF">2017-05-17T18:30:35Z</dcterms:created>
  <dcterms:modified xsi:type="dcterms:W3CDTF">2020-07-04T12:40:39Z</dcterms:modified>
</cp:coreProperties>
</file>